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4\"/>
    </mc:Choice>
  </mc:AlternateContent>
  <xr:revisionPtr revIDLastSave="0" documentId="8_{9D00EA28-13D8-46EC-B4AB-B3B3FA87173D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720" tabRatio="767" activeTab="2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2" l="1"/>
  <c r="H36" i="20"/>
  <c r="H47" i="20" s="1"/>
  <c r="F36" i="20"/>
  <c r="F47" i="20" s="1"/>
  <c r="H70" i="20"/>
  <c r="F70" i="20" l="1"/>
  <c r="C11" i="2" l="1"/>
  <c r="C66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H3" i="21" l="1"/>
  <c r="C4" i="20"/>
  <c r="C7" i="20" s="1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C5" i="20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C65" i="17" l="1"/>
  <c r="C67" i="17" s="1"/>
  <c r="E65" i="17"/>
  <c r="E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C36" i="2"/>
  <c r="C96" i="2"/>
  <c r="E50" i="21" s="1"/>
  <c r="E96" i="2"/>
  <c r="E62" i="21" s="1"/>
  <c r="E115" i="2"/>
  <c r="C115" i="2"/>
  <c r="E109" i="2"/>
  <c r="E83" i="2"/>
  <c r="E60" i="21" s="1"/>
  <c r="E56" i="2"/>
  <c r="C56" i="2"/>
  <c r="E21" i="2"/>
  <c r="E17" i="21" l="1"/>
  <c r="E33" i="21"/>
  <c r="C39" i="2"/>
  <c r="C46" i="2" s="1"/>
  <c r="E39" i="2"/>
  <c r="E72" i="2"/>
  <c r="E59" i="21" s="1"/>
  <c r="C72" i="2"/>
  <c r="E47" i="21" s="1"/>
  <c r="C102" i="2"/>
  <c r="E102" i="2"/>
  <c r="E64" i="21" s="1"/>
  <c r="E37" i="21" l="1"/>
  <c r="E46" i="2"/>
  <c r="E38" i="21" s="1"/>
  <c r="E52" i="21"/>
  <c r="C104" i="2"/>
  <c r="E36" i="21"/>
  <c r="E20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<sst xmlns="http://schemas.openxmlformats.org/spreadsheetml/2006/main" count="1351" uniqueCount="607">
  <si>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</si>
  <si>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</si>
  <si>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</si>
  <si>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</si>
  <si>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</si>
  <si>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</si>
  <si>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</si>
  <si>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</si>
  <si>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</si>
  <si>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</si>
  <si>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</si>
  <si>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</si>
  <si>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</si>
  <si>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</si>
  <si>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</si>
  <si>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</si>
  <si>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</si>
  <si>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</si>
  <si>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</si>
  <si>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</si>
  <si>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</si>
  <si>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</si>
  <si>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</si>
  <si>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</si>
  <si>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</si>
  <si>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</si>
  <si>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</si>
  <si>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</si>
  <si>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</si>
  <si>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</si>
  <si>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</si>
  <si>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</si>
  <si>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</si>
  <si>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</si>
  <si>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</si>
  <si>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</si>
  <si>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</si>
  <si>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</si>
  <si>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</si>
  <si>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</si>
  <si>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</si>
  <si>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</si>
  <si>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</si>
  <si>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</si>
  <si>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</si>
  <si>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</si>
  <si>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</si>
  <si>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</si>
  <si>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</si>
  <si>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</si>
  <si>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</si>
  <si>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</si>
  <si>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</si>
  <si>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</si>
  <si>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</si>
  <si>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</si>
  <si>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</si>
  <si>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</si>
  <si>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</si>
  <si>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</si>
  <si>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</si>
  <si>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</si>
  <si>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</si>
  <si>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</si>
  <si>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</si>
  <si>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</si>
  <si>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</si>
  <si>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</si>
  <si>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</si>
  <si>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</si>
  <si>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</si>
  <si>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</si>
  <si>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</si>
  <si>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</si>
  <si>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</si>
  <si>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</si>
  <si>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</si>
  <si>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</si>
  <si>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</si>
  <si>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</si>
  <si>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</si>
  <si>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</si>
  <si>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</si>
  <si>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</si>
  <si>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</si>
  <si>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</si>
  <si>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</si>
  <si>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</si>
  <si>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</si>
  <si>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</si>
  <si>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</si>
  <si>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</si>
  <si>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</si>
  <si>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</si>
  <si>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</si>
  <si>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</si>
  <si>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</si>
  <si>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</si>
  <si>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</si>
  <si>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</si>
  <si>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</si>
  <si>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</si>
  <si>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</si>
  <si>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</si>
  <si>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</si>
  <si>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</si>
  <si>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</si>
  <si>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</si>
  <si>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</si>
  <si>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</si>
  <si>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</si>
  <si>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</si>
  <si>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</si>
  <si>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</si>
  <si>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</si>
  <si>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</si>
  <si>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</si>
  <si>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</si>
  <si>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</si>
  <si>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</si>
  <si>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</si>
  <si>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</si>
  <si>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</si>
  <si>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</si>
  <si>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</si>
  <si>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</si>
  <si>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</si>
  <si>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</si>
  <si>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</si>
  <si>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</si>
  <si>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</si>
  <si>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</si>
  <si>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</si>
  <si>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</si>
  <si>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</si>
  <si>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</si>
  <si>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</si>
  <si>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</si>
  <si>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</si>
  <si>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</si>
  <si>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</si>
  <si>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</si>
  <si>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</si>
  <si>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</si>
  <si>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</si>
  <si>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</si>
  <si>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</si>
  <si>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</si>
  <si>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</si>
  <si>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</si>
  <si>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</si>
  <si>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</si>
  <si>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</si>
  <si>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</si>
  <si>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</si>
  <si>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</si>
  <si>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</si>
  <si>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</si>
  <si>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</si>
  <si>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</si>
  <si>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</si>
  <si>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</si>
  <si>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</si>
  <si>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</si>
  <si>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</si>
  <si>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</si>
  <si>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</si>
  <si>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</si>
  <si>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</si>
  <si>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</si>
  <si>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</si>
  <si>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</si>
  <si>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</si>
  <si>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</si>
  <si>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</si>
  <si>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</si>
  <si>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</si>
  <si>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</si>
  <si>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</si>
  <si>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</si>
  <si>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</si>
  <si>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</si>
  <si>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</si>
  <si>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</si>
  <si>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</si>
  <si>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</si>
  <si>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</si>
  <si>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</si>
  <si>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</si>
  <si>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</si>
  <si>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</si>
  <si>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</si>
  <si>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</si>
  <si>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</si>
  <si>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</si>
  <si>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</si>
  <si>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</si>
  <si>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</si>
  <si>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</si>
  <si>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</si>
  <si>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</si>
  <si>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</si>
  <si>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</si>
  <si>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</si>
  <si>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</si>
  <si>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</si>
  <si>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</si>
  <si>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</si>
  <si>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</si>
  <si>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</si>
  <si>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</si>
  <si>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</si>
  <si>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</si>
  <si>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</si>
  <si>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</si>
  <si>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</si>
  <si>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</si>
  <si>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</si>
  <si>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</si>
  <si>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</si>
  <si>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</si>
  <si>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</si>
  <si>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</si>
  <si>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</si>
  <si>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</si>
  <si>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</si>
  <si>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</si>
  <si>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</si>
  <si>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</si>
  <si>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</si>
  <si>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</si>
  <si>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</si>
  <si>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</si>
  <si>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</si>
  <si>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</si>
  <si>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</si>
  <si>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</si>
  <si>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</si>
  <si>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</si>
  <si>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</si>
  <si>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</si>
  <si>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</si>
  <si>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</si>
  <si>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</si>
  <si>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</si>
  <si>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</si>
  <si>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</si>
  <si>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</si>
  <si>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</si>
  <si>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</si>
  <si>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</si>
  <si>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</si>
  <si>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</si>
  <si>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</si>
  <si>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</si>
  <si>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</si>
  <si>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</si>
  <si>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</si>
  <si>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</si>
  <si>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</si>
  <si>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</si>
  <si>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</si>
  <si>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</si>
  <si>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</si>
  <si>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</si>
  <si>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</si>
  <si>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</si>
  <si>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</si>
  <si>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</si>
  <si>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</si>
  <si>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</si>
  <si>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</si>
  <si>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</si>
  <si>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</si>
  <si>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</si>
  <si>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</si>
  <si>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</si>
  <si>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</si>
  <si>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</si>
  <si>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</si>
  <si>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</si>
  <si>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</si>
  <si>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</si>
  <si>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</si>
  <si>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</si>
  <si>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</si>
  <si>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</si>
  <si>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</si>
  <si>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</si>
  <si>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</si>
  <si>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</si>
  <si>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</si>
  <si>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</si>
  <si>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</si>
  <si>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</si>
  <si>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</si>
  <si>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</si>
  <si>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</si>
  <si>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</si>
  <si>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</si>
  <si>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</si>
  <si>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</si>
  <si>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</si>
  <si>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</si>
  <si>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</si>
  <si>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</si>
  <si>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</si>
  <si>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</si>
  <si>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</si>
  <si>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</si>
  <si>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</si>
  <si>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</si>
  <si>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</si>
  <si>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</si>
  <si>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</si>
  <si>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</si>
  <si>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</si>
  <si>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</si>
  <si>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</si>
  <si>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</si>
  <si>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</si>
  <si>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</si>
  <si>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</si>
  <si>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</si>
  <si>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</si>
  <si>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</si>
  <si>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</si>
  <si>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</si>
  <si>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</si>
  <si>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</si>
  <si>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</si>
  <si>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</si>
  <si>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</si>
  <si>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</si>
  <si>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</si>
  <si>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</si>
  <si>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</si>
  <si>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</si>
  <si>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</si>
  <si>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</si>
  <si>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</si>
  <si>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</si>
  <si>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</si>
  <si>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</si>
  <si>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</si>
  <si>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</si>
  <si>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</si>
  <si>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</si>
  <si>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</si>
  <si>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</si>
  <si>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</si>
  <si>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</si>
  <si>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</si>
  <si>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</si>
  <si>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</si>
  <si>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</si>
  <si>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</si>
  <si>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</si>
  <si>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</si>
  <si>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</si>
  <si>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</si>
  <si>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</si>
  <si>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</si>
  <si>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</si>
  <si>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</si>
  <si>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</si>
  <si>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</si>
  <si>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</si>
  <si>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</si>
  <si>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</si>
  <si>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</si>
  <si>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</si>
  <si>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</si>
  <si>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</si>
  <si>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</si>
  <si>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</si>
  <si>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</si>
  <si>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</si>
  <si>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</si>
  <si>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</si>
  <si>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</si>
  <si>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</si>
  <si>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</si>
  <si>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</si>
  <si>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</si>
  <si>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</si>
  <si>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</si>
  <si>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</si>
  <si>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</si>
  <si>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</si>
  <si>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</si>
  <si>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</si>
  <si>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</si>
  <si>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</si>
  <si>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</si>
  <si>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</si>
  <si>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</si>
  <si>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</si>
  <si>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</si>
  <si>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</si>
  <si>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</si>
  <si>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</si>
  <si>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</si>
  <si>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</si>
  <si>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</si>
  <si>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</si>
  <si>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</si>
  <si>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</si>
  <si>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</si>
  <si>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</si>
  <si>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</si>
  <si>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</si>
  <si>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</si>
  <si>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</si>
  <si>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</si>
  <si>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</si>
  <si>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</si>
  <si>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</si>
  <si>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</si>
  <si>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</si>
  <si>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</si>
  <si>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</si>
  <si>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</si>
  <si>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</si>
  <si>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</si>
  <si>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</si>
  <si>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</si>
  <si>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</si>
  <si>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</si>
  <si>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</si>
  <si>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</si>
  <si>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</si>
  <si>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</si>
  <si>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</si>
  <si>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</si>
  <si>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</si>
  <si>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</si>
  <si>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</si>
  <si>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</si>
  <si>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</si>
  <si>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</si>
  <si>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</si>
  <si>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</si>
  <si>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</si>
  <si>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</si>
  <si>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</si>
  <si>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</si>
  <si>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</si>
  <si>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</si>
  <si>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</si>
  <si>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</si>
  <si>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</si>
  <si>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</si>
  <si>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</si>
  <si>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</si>
  <si>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</si>
  <si>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</si>
  <si>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</si>
  <si>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</si>
  <si>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</si>
  <si>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</si>
  <si>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</si>
  <si>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</si>
  <si>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</si>
  <si>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</si>
  <si>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</si>
  <si>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</si>
  <si>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</si>
  <si>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</si>
  <si>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</si>
  <si>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</si>
  <si>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</si>
  <si>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</si>
  <si>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</si>
  <si>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</si>
  <si>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</si>
  <si>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</si>
  <si>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</si>
  <si>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</si>
  <si>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</si>
  <si>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</si>
  <si>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</si>
  <si>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</si>
  <si>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</si>
  <si>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</si>
  <si>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</si>
  <si>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</si>
  <si>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</si>
  <si>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</si>
  <si>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</si>
  <si>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</si>
  <si>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</si>
  <si>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</si>
  <si>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</si>
  <si>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</si>
  <si>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</si>
  <si>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</si>
  <si>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</si>
  <si>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</si>
  <si>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</si>
  <si>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</si>
  <si>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</si>
  <si>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</si>
  <si>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</si>
  <si>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</si>
  <si>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</si>
  <si>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</si>
  <si>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</si>
  <si>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</si>
  <si>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</si>
  <si>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</si>
  <si>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</si>
  <si>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</si>
  <si>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</si>
  <si>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</si>
  <si>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</si>
  <si>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</si>
  <si>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</si>
  <si>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</si>
  <si>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</si>
  <si>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</si>
  <si>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</si>
  <si>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</si>
  <si>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</si>
  <si>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</si>
  <si>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</si>
  <si>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</si>
  <si>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</si>
  <si>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</si>
  <si>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</si>
  <si>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</si>
  <si>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</si>
  <si>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</si>
  <si>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</si>
  <si>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</si>
  <si>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</si>
  <si>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</si>
  <si>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</si>
  <si>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</si>
  <si>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</si>
  <si>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</si>
  <si>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</si>
  <si>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</si>
  <si>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</si>
  <si>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</si>
  <si>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</si>
  <si>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</si>
  <si>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</si>
  <si>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</si>
  <si>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</si>
  <si>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</si>
  <si>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</si>
  <si>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</si>
  <si>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Investicijos į vandentiekio ir nuotekų tinklų infrastrukrūtrą,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</si>
  <si>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</si>
  <si>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</si>
  <si>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</si>
  <si>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</si>
  <si>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</si>
  <si>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</si>
  <si>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</si>
  <si>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</si>
  <si>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</si>
  <si>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</si>
  <si>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</si>
  <si>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</si>
  <si>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</si>
  <si>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</si>
  <si>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</si>
  <si>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</si>
  <si>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</si>
  <si>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</si>
  <si>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</si>
  <si>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</si>
  <si>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</si>
  <si>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</si>
  <si>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</si>
  <si>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</si>
  <si>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</si>
  <si>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</si>
  <si>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</si>
  <si>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</si>
  <si>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</si>
  <si>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Jonas Endrikis</t>
  </si>
  <si>
    <t>Varėnos rajono savivaldyb4s admininstracija</t>
  </si>
  <si>
    <t>Vyr. finansininkė Alvyda Leknickienė</t>
  </si>
  <si>
    <t>370 618 28657, alvyda.l@vsiluma.lt</t>
  </si>
  <si>
    <t>Neišnešiotų naujagimių asociacija "Neišnešiotukas</t>
  </si>
  <si>
    <t>Pagalba ir parama neišnešiotukams ir jų šeimoms</t>
  </si>
  <si>
    <t>Varėnos švietimo centras</t>
  </si>
  <si>
    <t>Talentų šou "Vakaro žvaigždės"</t>
  </si>
  <si>
    <t>v.siluma.lt</t>
  </si>
  <si>
    <t>Varėnos r. kultūros ir sporto centro klubas "Ūla"</t>
  </si>
  <si>
    <t>atstovauti rajonui aukščiausioje Lietuvos rankinio lygoje</t>
  </si>
  <si>
    <t>Vyr. finansininkė  Alvyda leknickienė</t>
  </si>
  <si>
    <t>https://www.vsiluma.lt/apie-mus/</t>
  </si>
  <si>
    <t>5 metai</t>
  </si>
  <si>
    <t>1 kartą per metus</t>
  </si>
  <si>
    <t>Šilumos gamyba, perdavimas ir mažmeninis aptarnavimas</t>
  </si>
  <si>
    <t>Karšto vandens tiekimas</t>
  </si>
  <si>
    <t>Karšto vandens apkaitos prietaisų aptarnavimas</t>
  </si>
  <si>
    <t>Pastatų šildymo ir karšto vandens sistemų priežiūra</t>
  </si>
  <si>
    <t>Vyr. finansininkės pavaduotoja: Jurgita Petrušienė</t>
  </si>
  <si>
    <t>37062629938, jurgita.p@vsiluma.lt</t>
  </si>
  <si>
    <t>Į eilutę Trumpalaikis turtas nesisumuoja eilutė Pinigai ir pinigų ekvivalentai, todėl balansas nesibalansuoja 1166.5 sumai. Vidutinis darbuotojų amžius neapskaitomas.</t>
  </si>
  <si>
    <t>Lūkesčio rašto data 2023-10-16</t>
  </si>
  <si>
    <t>Įmonės vadovas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</si>
</sst>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6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opLeftCell="A94" zoomScaleNormal="100" zoomScaleSheetLayoutView="85" zoomScalePageLayoutView="60" workbookViewId="0">
      <selection activeCell="C121" sqref="C121:E121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87" t="s">
        <v>582</v>
      </c>
      <c r="E2" s="58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89"/>
      <c r="E3" s="59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89"/>
      <c r="E4" s="59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98" t="s">
        <v>5</v>
      </c>
      <c r="C6" s="599"/>
      <c r="D6" s="599"/>
      <c r="E6" s="60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601" t="s">
        <v>302</v>
      </c>
      <c r="D8" s="601"/>
      <c r="E8" s="60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91" t="str">
        <f>IFERROR(VLOOKUP(C8,$R$1:$T$239,3,FALSE),"")</f>
        <v xml:space="preserve">Varėnos rajono savivaldybė </v>
      </c>
      <c r="D9" s="591"/>
      <c r="E9" s="59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91">
        <f>IFERROR(VLOOKUP(C8,$R$2:$S$239,2,FALSE),"")</f>
        <v>184827583</v>
      </c>
      <c r="D10" s="591"/>
      <c r="E10" s="59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03" t="str">
        <f>IFERROR(VLOOKUP(C8,$R$2:$V$239,5,FALSE),"")</f>
        <v>Šilumos tinklai</v>
      </c>
      <c r="D11" s="603"/>
      <c r="E11" s="60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93" t="s">
        <v>583</v>
      </c>
      <c r="D12" s="593"/>
      <c r="E12" s="59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95" t="s">
        <v>36</v>
      </c>
      <c r="D14" s="596"/>
      <c r="E14" s="59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607" t="s">
        <v>330</v>
      </c>
      <c r="D15" s="60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608" t="s">
        <v>584</v>
      </c>
      <c r="D16" s="609"/>
      <c r="E16" s="150">
        <v>0.997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608"/>
      <c r="D17" s="60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561"/>
      <c r="D18" s="562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561"/>
      <c r="D19" s="562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561"/>
      <c r="D20" s="562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63" t="s">
        <v>68</v>
      </c>
      <c r="D21" s="564"/>
      <c r="E21" s="151">
        <f>100%-SUM(E16:E20)</f>
        <v>3.0000000000000027E-3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565">
        <v>1</v>
      </c>
      <c r="D23" s="565"/>
      <c r="E23" s="566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0"/>
      <c r="D24" s="610"/>
      <c r="E24" s="61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85" t="s">
        <v>201</v>
      </c>
      <c r="D26" s="585"/>
      <c r="E26" s="58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05"/>
      <c r="D27" s="605"/>
      <c r="E27" s="60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1" t="s">
        <v>79</v>
      </c>
      <c r="D29" s="581"/>
      <c r="E29" s="58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83" t="s">
        <v>80</v>
      </c>
      <c r="D30" s="583"/>
      <c r="E30" s="58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73" t="s">
        <v>82</v>
      </c>
      <c r="D31" s="573"/>
      <c r="E31" s="574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75" t="s">
        <v>84</v>
      </c>
      <c r="D32" s="575"/>
      <c r="E32" s="576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3763.6</v>
      </c>
      <c r="D34" s="33"/>
      <c r="E34" s="161">
        <v>3395.4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3508.9</v>
      </c>
      <c r="D35" s="33"/>
      <c r="E35" s="162">
        <v>3007.1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254.69999999999982</v>
      </c>
      <c r="D36" s="33"/>
      <c r="E36" s="164">
        <f>+E34-E35</f>
        <v>388.30000000000018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324.5</v>
      </c>
      <c r="D38" s="47"/>
      <c r="E38" s="165">
        <v>380.8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-69.800000000000182</v>
      </c>
      <c r="D39" s="33"/>
      <c r="E39" s="494">
        <f>+E36-E37-E38</f>
        <v>7.5000000000001705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490.6</v>
      </c>
      <c r="D41" s="48"/>
      <c r="E41" s="166">
        <v>134.9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-0.79999999999999982</v>
      </c>
      <c r="D42" s="33"/>
      <c r="E42" s="167">
        <f>E43-E44</f>
        <v>6.6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>
        <v>6.3</v>
      </c>
      <c r="D43" s="47"/>
      <c r="E43" s="169">
        <v>8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>
        <v>7.1</v>
      </c>
      <c r="D44" s="47"/>
      <c r="E44" s="348">
        <v>1.4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>
        <v>7.1</v>
      </c>
      <c r="D45" s="47"/>
      <c r="E45" s="349">
        <v>1.3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419.99999999999983</v>
      </c>
      <c r="D46" s="47"/>
      <c r="E46" s="177">
        <f>+E39+E41+E42+E40</f>
        <v>149.00000000000017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>
        <v>66</v>
      </c>
      <c r="D47" s="48"/>
      <c r="E47" s="171">
        <v>19.899999999999999</v>
      </c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353.99999999999983</v>
      </c>
      <c r="D48" s="33"/>
      <c r="E48" s="164">
        <f>E46-E47</f>
        <v>129.10000000000016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1" t="s">
        <v>79</v>
      </c>
      <c r="D50" s="581"/>
      <c r="E50" s="58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2.9</v>
      </c>
      <c r="D52" s="37"/>
      <c r="E52" s="169">
        <v>4.3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3541.1</v>
      </c>
      <c r="D53" s="47"/>
      <c r="E53" s="175">
        <v>3234.6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3544</v>
      </c>
      <c r="D56" s="33"/>
      <c r="E56" s="351">
        <f>SUM(E52:E55)</f>
        <v>3238.9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569.6</v>
      </c>
      <c r="D58" s="47"/>
      <c r="E58" s="169">
        <v>522.70000000000005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756.7</v>
      </c>
      <c r="D59" s="47"/>
      <c r="E59" s="175">
        <v>734.9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708</v>
      </c>
      <c r="D60" s="47"/>
      <c r="E60" s="175">
        <v>664.9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>
        <v>926.6</v>
      </c>
      <c r="D65" s="47"/>
      <c r="E65" s="170">
        <v>1166.5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2252.9</v>
      </c>
      <c r="D66" s="33"/>
      <c r="E66" s="177">
        <f>SUM(E58:E59,E61)</f>
        <v>1257.5999999999999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4.0999999999999996</v>
      </c>
      <c r="D68" s="48"/>
      <c r="E68" s="182">
        <v>5.5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5801</v>
      </c>
      <c r="D72" s="33"/>
      <c r="E72" s="177">
        <f>SUM(E56,E66,E68,E70)</f>
        <v>4502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3296.1</v>
      </c>
      <c r="D74" s="47"/>
      <c r="E74" s="175">
        <v>3296.1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3296.1</v>
      </c>
      <c r="D75" s="47"/>
      <c r="E75" s="175">
        <v>3296.1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15.4</v>
      </c>
      <c r="D80" s="47"/>
      <c r="E80" s="175">
        <v>76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15.4</v>
      </c>
      <c r="D81" s="47"/>
      <c r="E81" s="175">
        <v>33.1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429.5</v>
      </c>
      <c r="D82" s="47"/>
      <c r="E82" s="175">
        <v>508.6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3741</v>
      </c>
      <c r="D83" s="33"/>
      <c r="E83" s="177">
        <f>SUM(E74,E76:E80,E82:E82)</f>
        <v>3880.7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>
        <v>1109.3</v>
      </c>
      <c r="D85" s="57"/>
      <c r="E85" s="187">
        <v>981.4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>
        <v>33.5</v>
      </c>
      <c r="D89" s="47"/>
      <c r="E89" s="175">
        <v>15.2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>
        <v>33.5</v>
      </c>
      <c r="D91" s="47"/>
      <c r="E91" s="175">
        <v>15.2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917.2</v>
      </c>
      <c r="D92" s="47"/>
      <c r="E92" s="175">
        <v>791.2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317.5</v>
      </c>
      <c r="D93" s="47"/>
      <c r="E93" s="175">
        <v>261.2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>
        <v>18.399999999999999</v>
      </c>
      <c r="D94" s="47"/>
      <c r="E94" s="175">
        <v>18.3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950.7</v>
      </c>
      <c r="D96" s="33"/>
      <c r="E96" s="177">
        <f>SUM(E89,E92)</f>
        <v>806.40000000000009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5801</v>
      </c>
      <c r="D102" s="33"/>
      <c r="E102" s="177">
        <f>SUM(E83,E85,E87,E96,E98,E100)</f>
        <v>5668.5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>
        <f>IF(ROUND((E72-E102)/2,1)=0,"Balansas",E72-E102)</f>
        <v>-1166.5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1" t="s">
        <v>79</v>
      </c>
      <c r="D108" s="581"/>
      <c r="E108" s="58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307.8</v>
      </c>
      <c r="D110" s="48"/>
      <c r="E110" s="360">
        <v>312.2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>
        <v>421.5</v>
      </c>
      <c r="D111" s="33"/>
      <c r="E111" s="361">
        <v>127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>
        <v>429.5</v>
      </c>
      <c r="D112" s="33"/>
      <c r="E112" s="362">
        <v>508.6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77</v>
      </c>
      <c r="D116" s="132"/>
      <c r="E116" s="364">
        <v>80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7</v>
      </c>
      <c r="D117" s="47"/>
      <c r="E117" s="362">
        <v>7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68</v>
      </c>
      <c r="D118" s="33"/>
      <c r="E118" s="362">
        <v>69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/>
      <c r="D119" s="357"/>
      <c r="E119" s="365"/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71" t="s">
        <v>604</v>
      </c>
      <c r="D121" s="571"/>
      <c r="E121" s="572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577">
        <v>45765</v>
      </c>
      <c r="D126" s="577"/>
      <c r="E126" s="578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79" t="s">
        <v>585</v>
      </c>
      <c r="D127" s="579"/>
      <c r="E127" s="580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67" t="s">
        <v>586</v>
      </c>
      <c r="D128" s="567"/>
      <c r="E128" s="568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69"/>
      <c r="D129" s="569"/>
      <c r="E129" s="570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YbYWEweu06NqWp2TynR2Sr7jstPxjaMAKvkfmyEEENjo8Trc7n6F5QXY9KYhRo65zP887BzTLQPloR989RCstQ==" saltValue="moTb9j11eclDLEfpETPiP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2"/>
      <c r="E2" s="612"/>
      <c r="F2" s="116"/>
      <c r="G2" s="116"/>
    </row>
    <row r="3" spans="1:7" ht="29.25" customHeight="1" x14ac:dyDescent="0.2">
      <c r="A3" s="116"/>
      <c r="B3" s="63"/>
      <c r="C3" s="63"/>
      <c r="D3" s="613" t="s">
        <v>325</v>
      </c>
      <c r="E3" s="613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99" t="s">
        <v>327</v>
      </c>
      <c r="C6" s="599"/>
      <c r="D6" s="599"/>
      <c r="E6" s="59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1" t="str">
        <f>'Finansiniai duomenys'!C8</f>
        <v>UAB „Varėnos šiluma“</v>
      </c>
      <c r="D9" s="621"/>
      <c r="E9" s="621"/>
      <c r="F9" s="116"/>
      <c r="G9" s="116"/>
    </row>
    <row r="10" spans="1:7" x14ac:dyDescent="0.2">
      <c r="A10" s="116"/>
      <c r="B10" s="84" t="s">
        <v>9</v>
      </c>
      <c r="C10" s="591" t="str">
        <f>'Finansiniai duomenys'!C9</f>
        <v xml:space="preserve">Varėnos rajono savivaldybė </v>
      </c>
      <c r="D10" s="591"/>
      <c r="E10" s="59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91" t="e">
        <f>'Finansiniai duomenys'!#REF!</f>
        <v>#REF!</v>
      </c>
      <c r="D14" s="591"/>
      <c r="E14" s="59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91">
        <f>'Finansiniai duomenys'!C10</f>
        <v>184827583</v>
      </c>
      <c r="D27" s="591"/>
      <c r="E27" s="591"/>
      <c r="F27" s="116"/>
      <c r="G27" s="116"/>
    </row>
    <row r="28" spans="1:9" x14ac:dyDescent="0.2">
      <c r="A28" s="116"/>
      <c r="B28" s="34" t="s">
        <v>16</v>
      </c>
      <c r="C28" s="591" t="e">
        <f>'Finansiniai duomenys'!#REF!</f>
        <v>#REF!</v>
      </c>
      <c r="D28" s="591"/>
      <c r="E28" s="591"/>
      <c r="F28" s="116"/>
      <c r="G28" s="116"/>
    </row>
    <row r="29" spans="1:9" x14ac:dyDescent="0.2">
      <c r="A29" s="116"/>
      <c r="B29" s="34" t="s">
        <v>20</v>
      </c>
      <c r="C29" s="591" t="e">
        <f>'Finansiniai duomenys'!#REF!</f>
        <v>#REF!</v>
      </c>
      <c r="D29" s="591"/>
      <c r="E29" s="59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91" t="e">
        <f>'Finansiniai duomenys'!#REF!</f>
        <v>#REF!</v>
      </c>
      <c r="D30" s="591"/>
      <c r="E30" s="59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91" t="e">
        <f>'Finansiniai duomenys'!#REF!</f>
        <v>#REF!</v>
      </c>
      <c r="D31" s="591"/>
      <c r="E31" s="59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0" t="e">
        <f>'Finansiniai duomenys'!#REF!</f>
        <v>#REF!</v>
      </c>
      <c r="D32" s="620"/>
      <c r="E32" s="620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95" t="s">
        <v>36</v>
      </c>
      <c r="D34" s="596"/>
      <c r="E34" s="59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607" t="s">
        <v>330</v>
      </c>
      <c r="D35" s="60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4" t="str">
        <f>'Finansiniai duomenys'!C16</f>
        <v>Varėnos rajono savivaldyb4s admininstracija</v>
      </c>
      <c r="D36" s="615"/>
      <c r="E36" s="117">
        <f>'Finansiniai duomenys'!E16</f>
        <v>0.997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4">
        <f>'Finansiniai duomenys'!C17</f>
        <v>0</v>
      </c>
      <c r="D37" s="615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4" t="e">
        <f>'Finansiniai duomenys'!#REF!</f>
        <v>#REF!</v>
      </c>
      <c r="D38" s="615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4" t="e">
        <f>'Finansiniai duomenys'!#REF!</f>
        <v>#REF!</v>
      </c>
      <c r="D39" s="615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4" t="e">
        <f>'Finansiniai duomenys'!#REF!</f>
        <v>#REF!</v>
      </c>
      <c r="D40" s="615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63" t="s">
        <v>68</v>
      </c>
      <c r="D41" s="564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6">
        <f>'Finansiniai duomenys'!C23</f>
        <v>1</v>
      </c>
      <c r="D43" s="616"/>
      <c r="E43" s="616"/>
      <c r="F43" s="116"/>
      <c r="G43" s="116"/>
    </row>
    <row r="44" spans="1:9" ht="24" x14ac:dyDescent="0.2">
      <c r="A44" s="116"/>
      <c r="B44" s="86" t="s">
        <v>331</v>
      </c>
      <c r="C44" s="617">
        <f>'Finansiniai duomenys'!C24</f>
        <v>0</v>
      </c>
      <c r="D44" s="617"/>
      <c r="E44" s="617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18" t="e">
        <f>'Finansiniai duomenys'!#REF!</f>
        <v>#REF!</v>
      </c>
      <c r="D46" s="618"/>
      <c r="E46" s="618"/>
      <c r="F46" s="116"/>
      <c r="G46" s="116"/>
    </row>
    <row r="47" spans="1:9" ht="41.25" customHeight="1" x14ac:dyDescent="0.2">
      <c r="A47" s="116"/>
      <c r="B47" s="87" t="s">
        <v>76</v>
      </c>
      <c r="C47" s="619" t="e">
        <f>'Finansiniai duomenys'!#REF!</f>
        <v>#REF!</v>
      </c>
      <c r="D47" s="619"/>
      <c r="E47" s="619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1" t="s">
        <v>79</v>
      </c>
      <c r="D49" s="581"/>
      <c r="E49" s="581"/>
      <c r="F49" s="116"/>
      <c r="G49" s="116"/>
      <c r="H49" s="35"/>
    </row>
    <row r="50" spans="1:12" s="35" customFormat="1" ht="12" customHeight="1" x14ac:dyDescent="0.2">
      <c r="A50" s="122"/>
      <c r="B50" s="133"/>
      <c r="C50" s="583"/>
      <c r="D50" s="583"/>
      <c r="E50" s="58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73" t="s">
        <v>82</v>
      </c>
      <c r="D51" s="573"/>
      <c r="E51" s="573"/>
      <c r="F51" s="116"/>
      <c r="G51" s="116"/>
    </row>
    <row r="52" spans="1:12" x14ac:dyDescent="0.2">
      <c r="A52" s="116"/>
      <c r="B52" s="33"/>
      <c r="C52" s="575" t="s">
        <v>84</v>
      </c>
      <c r="D52" s="575"/>
      <c r="E52" s="575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71"/>
      <c r="D139" s="571"/>
      <c r="E139" s="571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577"/>
      <c r="D144" s="577"/>
      <c r="E144" s="577"/>
      <c r="F144" s="116"/>
      <c r="G144" s="116"/>
    </row>
    <row r="145" spans="1:7" x14ac:dyDescent="0.2">
      <c r="A145" s="116"/>
      <c r="B145" s="33" t="s">
        <v>227</v>
      </c>
      <c r="C145" s="579"/>
      <c r="D145" s="579"/>
      <c r="E145" s="579"/>
      <c r="F145" s="116"/>
      <c r="G145" s="116"/>
    </row>
    <row r="146" spans="1:7" ht="24" x14ac:dyDescent="0.2">
      <c r="A146" s="116"/>
      <c r="B146" s="114" t="s">
        <v>229</v>
      </c>
      <c r="C146" s="567"/>
      <c r="D146" s="567"/>
      <c r="E146" s="567"/>
      <c r="F146" s="116"/>
      <c r="G146" s="116"/>
    </row>
    <row r="147" spans="1:7" ht="30" customHeight="1" x14ac:dyDescent="0.2">
      <c r="A147" s="116"/>
      <c r="B147" s="115" t="s">
        <v>347</v>
      </c>
      <c r="C147" s="569"/>
      <c r="D147" s="569"/>
      <c r="E147" s="569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abSelected="1" zoomScale="110" zoomScaleNormal="110" workbookViewId="0">
      <selection activeCell="F23" sqref="F23:H23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24" t="s">
        <v>406</v>
      </c>
      <c r="C2" s="625"/>
      <c r="D2" s="625"/>
      <c r="E2" s="625"/>
      <c r="F2" s="625"/>
      <c r="G2" s="637" t="s">
        <v>348</v>
      </c>
      <c r="H2" s="637"/>
      <c r="I2" s="638"/>
    </row>
    <row r="3" spans="2:12" ht="51" customHeight="1" x14ac:dyDescent="0.25">
      <c r="B3" s="622" t="s">
        <v>578</v>
      </c>
      <c r="C3" s="623"/>
      <c r="D3" s="623"/>
      <c r="E3" s="623"/>
      <c r="F3" s="623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52" t="str">
        <f>'Finansiniai duomenys'!C8</f>
        <v>UAB „Varėnos šiluma“</v>
      </c>
      <c r="D4" s="652"/>
      <c r="E4" s="652"/>
      <c r="F4" s="652"/>
      <c r="G4" s="652"/>
      <c r="H4" s="652"/>
      <c r="I4" s="651"/>
      <c r="K4"/>
    </row>
    <row r="5" spans="2:12" s="12" customFormat="1" x14ac:dyDescent="0.25">
      <c r="B5" s="437" t="s">
        <v>9</v>
      </c>
      <c r="C5" s="650" t="str">
        <f>IFERROR(VLOOKUP(C4,'Finansiniai duomenys'!R2:T232,3,FALSE),"")</f>
        <v xml:space="preserve">Varėnos rajono savivaldybė </v>
      </c>
      <c r="D5" s="650"/>
      <c r="E5" s="650"/>
      <c r="F5" s="650"/>
      <c r="G5" s="650"/>
      <c r="H5" s="650"/>
      <c r="I5" s="651"/>
      <c r="K5"/>
    </row>
    <row r="6" spans="2:12" s="12" customFormat="1" x14ac:dyDescent="0.25">
      <c r="B6" s="437" t="s">
        <v>13</v>
      </c>
      <c r="C6" s="650">
        <f>IFERROR(VLOOKUP(C4,'Finansiniai duomenys'!R2:T232,2,FALSE),"")</f>
        <v>184827583</v>
      </c>
      <c r="D6" s="650"/>
      <c r="E6" s="650"/>
      <c r="F6" s="650"/>
      <c r="G6" s="650"/>
      <c r="H6" s="650"/>
      <c r="I6" s="651"/>
      <c r="K6"/>
    </row>
    <row r="7" spans="2:12" x14ac:dyDescent="0.25">
      <c r="B7" s="437" t="s">
        <v>20</v>
      </c>
      <c r="C7" s="650" t="str">
        <f>IFERROR(VLOOKUP(C4,'Finansiniai duomenys'!R2:V232,5,FALSE),"")</f>
        <v>Šilumos tinklai</v>
      </c>
      <c r="D7" s="650"/>
      <c r="E7" s="650"/>
      <c r="F7" s="650"/>
      <c r="G7" s="650"/>
      <c r="H7" s="650"/>
      <c r="I7" s="651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53" t="s">
        <v>511</v>
      </c>
      <c r="D13" s="654"/>
      <c r="E13" s="82"/>
      <c r="F13" s="639" t="s">
        <v>198</v>
      </c>
      <c r="G13" s="639"/>
      <c r="H13" s="639"/>
      <c r="I13" s="299"/>
    </row>
    <row r="14" spans="2:12" x14ac:dyDescent="0.25">
      <c r="B14" s="369"/>
      <c r="C14" s="387" t="s">
        <v>512</v>
      </c>
      <c r="D14" s="82"/>
      <c r="E14" s="82"/>
      <c r="F14" s="640">
        <v>45215</v>
      </c>
      <c r="G14" s="640"/>
      <c r="H14" s="640"/>
      <c r="I14" s="299"/>
    </row>
    <row r="15" spans="2:12" x14ac:dyDescent="0.25">
      <c r="B15" s="369"/>
      <c r="C15" s="369" t="s">
        <v>513</v>
      </c>
      <c r="D15" s="82"/>
      <c r="E15" s="82"/>
      <c r="F15" s="640" t="s">
        <v>198</v>
      </c>
      <c r="G15" s="640"/>
      <c r="H15" s="640"/>
      <c r="I15" s="299"/>
    </row>
    <row r="16" spans="2:12" ht="26.25" customHeight="1" x14ac:dyDescent="0.25">
      <c r="B16" s="369"/>
      <c r="C16" s="655" t="s">
        <v>563</v>
      </c>
      <c r="D16" s="656"/>
      <c r="E16" s="393"/>
      <c r="F16" s="663" t="s">
        <v>198</v>
      </c>
      <c r="G16" s="661"/>
      <c r="H16" s="662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41" t="s">
        <v>198</v>
      </c>
      <c r="G19" s="642"/>
      <c r="H19" s="643"/>
      <c r="I19" s="299"/>
    </row>
    <row r="20" spans="2:9" x14ac:dyDescent="0.25">
      <c r="B20" s="549"/>
      <c r="C20" s="34" t="s">
        <v>535</v>
      </c>
      <c r="D20" s="82"/>
      <c r="E20" s="82"/>
      <c r="F20" s="657" t="s">
        <v>595</v>
      </c>
      <c r="G20" s="658"/>
      <c r="H20" s="659"/>
      <c r="I20" s="299"/>
    </row>
    <row r="21" spans="2:9" x14ac:dyDescent="0.25">
      <c r="B21" s="549"/>
      <c r="C21" s="394" t="s">
        <v>515</v>
      </c>
      <c r="D21" s="395"/>
      <c r="E21" s="396"/>
      <c r="F21" s="644">
        <v>2022</v>
      </c>
      <c r="G21" s="645"/>
      <c r="H21" s="646"/>
      <c r="I21" s="397"/>
    </row>
    <row r="22" spans="2:9" x14ac:dyDescent="0.25">
      <c r="B22" s="549"/>
      <c r="C22" s="82" t="s">
        <v>516</v>
      </c>
      <c r="D22" s="398"/>
      <c r="E22" s="393"/>
      <c r="F22" s="647" t="s">
        <v>596</v>
      </c>
      <c r="G22" s="648"/>
      <c r="H22" s="649"/>
      <c r="I22" s="299"/>
    </row>
    <row r="23" spans="2:9" x14ac:dyDescent="0.25">
      <c r="B23" s="549"/>
      <c r="C23" s="82" t="s">
        <v>533</v>
      </c>
      <c r="D23" s="398"/>
      <c r="E23" s="393"/>
      <c r="F23" s="671" t="s">
        <v>606</v>
      </c>
      <c r="G23" s="671"/>
      <c r="H23" s="672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47" t="s">
        <v>597</v>
      </c>
      <c r="G24" s="648"/>
      <c r="H24" s="64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580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581</v>
      </c>
      <c r="D28" s="398"/>
      <c r="E28" s="393"/>
      <c r="F28" s="665" t="s">
        <v>201</v>
      </c>
      <c r="G28" s="666"/>
      <c r="H28" s="667"/>
      <c r="I28" s="299"/>
    </row>
    <row r="29" spans="2:9" x14ac:dyDescent="0.25">
      <c r="B29" s="549"/>
      <c r="C29" s="82" t="s">
        <v>561</v>
      </c>
      <c r="D29" s="398"/>
      <c r="E29" s="82"/>
      <c r="F29" s="660"/>
      <c r="G29" s="661"/>
      <c r="H29" s="662"/>
      <c r="I29" s="299"/>
    </row>
    <row r="30" spans="2:9" ht="35.25" customHeight="1" thickBot="1" x14ac:dyDescent="0.3">
      <c r="B30" s="549"/>
      <c r="C30" s="664" t="s">
        <v>562</v>
      </c>
      <c r="D30" s="664"/>
      <c r="E30" s="491"/>
      <c r="F30" s="668"/>
      <c r="G30" s="669"/>
      <c r="H30" s="670"/>
      <c r="I30" s="299"/>
    </row>
    <row r="31" spans="2:9" ht="50.25" customHeight="1" x14ac:dyDescent="0.25">
      <c r="B31" s="369"/>
      <c r="C31" s="655" t="s">
        <v>564</v>
      </c>
      <c r="D31" s="656"/>
      <c r="E31" s="393"/>
      <c r="F31" s="663"/>
      <c r="G31" s="661"/>
      <c r="H31" s="662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566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579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565</v>
      </c>
      <c r="D36" s="411"/>
      <c r="E36" s="82"/>
      <c r="F36" s="547">
        <f>'Finansiniai duomenys'!C34</f>
        <v>3763.6</v>
      </c>
      <c r="G36" s="82"/>
      <c r="H36" s="547">
        <f>'Finansiniai duomenys'!E34</f>
        <v>3395.4</v>
      </c>
      <c r="I36" s="299"/>
    </row>
    <row r="37" spans="2:9" x14ac:dyDescent="0.25">
      <c r="B37" s="549"/>
      <c r="C37" s="546" t="s">
        <v>567</v>
      </c>
      <c r="D37" s="559" t="s">
        <v>598</v>
      </c>
      <c r="E37" s="82"/>
      <c r="F37" s="560">
        <v>3401.03</v>
      </c>
      <c r="G37" s="82"/>
      <c r="H37" s="560">
        <v>3011.3580000000002</v>
      </c>
      <c r="I37" s="299"/>
    </row>
    <row r="38" spans="2:9" x14ac:dyDescent="0.25">
      <c r="B38" s="549"/>
      <c r="C38" s="546" t="s">
        <v>568</v>
      </c>
      <c r="D38" s="559" t="s">
        <v>599</v>
      </c>
      <c r="E38" s="82"/>
      <c r="F38" s="560">
        <v>238.03100000000001</v>
      </c>
      <c r="G38" s="82"/>
      <c r="H38" s="560">
        <v>228.84</v>
      </c>
      <c r="I38" s="299"/>
    </row>
    <row r="39" spans="2:9" x14ac:dyDescent="0.25">
      <c r="B39" s="549"/>
      <c r="C39" s="546" t="s">
        <v>569</v>
      </c>
      <c r="D39" s="559" t="s">
        <v>600</v>
      </c>
      <c r="E39" s="82"/>
      <c r="F39" s="560">
        <v>31.678999999999998</v>
      </c>
      <c r="G39" s="82"/>
      <c r="H39" s="560">
        <v>31.744</v>
      </c>
      <c r="I39" s="299"/>
    </row>
    <row r="40" spans="2:9" x14ac:dyDescent="0.25">
      <c r="B40" s="549"/>
      <c r="C40" s="546" t="s">
        <v>570</v>
      </c>
      <c r="D40" s="559" t="s">
        <v>601</v>
      </c>
      <c r="E40" s="82"/>
      <c r="F40" s="560">
        <v>92.873999999999995</v>
      </c>
      <c r="G40" s="82"/>
      <c r="H40" s="560">
        <v>123.48399999999999</v>
      </c>
      <c r="I40" s="299"/>
    </row>
    <row r="41" spans="2:9" x14ac:dyDescent="0.25">
      <c r="B41" s="549"/>
      <c r="C41" s="546" t="s">
        <v>571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572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573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574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576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577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575</v>
      </c>
      <c r="D47" s="411"/>
      <c r="E47" s="82"/>
      <c r="F47" s="547">
        <f>F36-F37-F38-F39-F40-F44-F45-F46-F41-F43</f>
        <v>-1.4000000000294222E-2</v>
      </c>
      <c r="G47" s="82"/>
      <c r="H47" s="547">
        <f>H36-H37-H38-H39-H40-H44-H45-H46-H41-H43</f>
        <v>-2.6000000000081513E-2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556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>
        <v>146.03399999999999</v>
      </c>
      <c r="G63" s="442"/>
      <c r="H63" s="529">
        <v>110.742</v>
      </c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>
        <v>15.9</v>
      </c>
      <c r="G64" s="449"/>
      <c r="H64" s="530">
        <v>6.7450000000000001</v>
      </c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>
        <v>35</v>
      </c>
      <c r="G65" s="451"/>
      <c r="H65" s="531">
        <v>35</v>
      </c>
      <c r="I65" s="452"/>
    </row>
    <row r="66" spans="2:10" x14ac:dyDescent="0.25">
      <c r="B66" s="549"/>
      <c r="C66" s="82" t="s">
        <v>542</v>
      </c>
      <c r="D66" s="82"/>
      <c r="E66" s="82"/>
      <c r="F66" s="532">
        <v>37623.760999999999</v>
      </c>
      <c r="G66" s="82"/>
      <c r="H66" s="532">
        <v>36236.800000000003</v>
      </c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>
        <v>9912.6329999999998</v>
      </c>
      <c r="G67" s="389"/>
      <c r="H67" s="533">
        <v>9868.14</v>
      </c>
      <c r="I67" s="446"/>
    </row>
    <row r="68" spans="2:10" x14ac:dyDescent="0.25">
      <c r="B68" s="549"/>
      <c r="C68" s="82" t="s">
        <v>540</v>
      </c>
      <c r="D68" s="82"/>
      <c r="E68" s="82"/>
      <c r="F68" s="532">
        <v>47536.394</v>
      </c>
      <c r="G68" s="82"/>
      <c r="H68" s="532">
        <v>46104.94</v>
      </c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>
        <v>0</v>
      </c>
      <c r="G69" s="389"/>
      <c r="H69" s="533">
        <v>0</v>
      </c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553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554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555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557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558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559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560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28" t="s">
        <v>605</v>
      </c>
      <c r="G96" s="628"/>
      <c r="H96" s="629"/>
      <c r="I96" s="299"/>
    </row>
    <row r="97" spans="1:9" ht="15.75" thickBot="1" x14ac:dyDescent="0.3">
      <c r="A97" s="429"/>
      <c r="B97" s="369"/>
      <c r="C97" s="408"/>
      <c r="D97" s="409"/>
      <c r="E97" s="409"/>
      <c r="F97" s="630"/>
      <c r="G97" s="630"/>
      <c r="H97" s="631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32"/>
      <c r="G98" s="632"/>
      <c r="H98" s="633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34"/>
      <c r="G99" s="635"/>
      <c r="H99" s="636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35" t="s">
        <v>602</v>
      </c>
      <c r="G100" s="635"/>
      <c r="H100" s="636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35" t="s">
        <v>603</v>
      </c>
      <c r="G101" s="635"/>
      <c r="H101" s="636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26"/>
      <c r="G102" s="626"/>
      <c r="H102" s="627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fg1c5EDkxGZwe/vdgMiXpAo9KQrxUL65to4AZvc+n1BzxkvcKF5+3z8cHJtdewnUe7gG/4z/kAWU7iQSU4d1Ow==" saltValue="0QsG/XVWyrOlFoYERBOzWQ==" spinCount="100000"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14" zoomScaleNormal="100" zoomScaleSheetLayoutView="100" workbookViewId="0">
      <selection activeCell="L27" sqref="L27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05" t="s">
        <v>348</v>
      </c>
      <c r="L3" s="706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711" t="s">
        <v>350</v>
      </c>
      <c r="D6" s="712"/>
      <c r="E6" s="712"/>
      <c r="F6" s="712"/>
      <c r="G6" s="712"/>
      <c r="H6" s="712"/>
      <c r="I6" s="712"/>
      <c r="J6" s="712"/>
      <c r="K6" s="712"/>
      <c r="L6" s="712"/>
      <c r="M6" s="713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707" t="s">
        <v>7</v>
      </c>
      <c r="D9" s="708"/>
      <c r="E9" s="709" t="str">
        <f>'Finansiniai duomenys'!C8</f>
        <v>UAB „Varėnos šiluma“</v>
      </c>
      <c r="F9" s="709"/>
      <c r="G9" s="709"/>
      <c r="H9" s="709"/>
      <c r="I9" s="709"/>
      <c r="J9" s="709"/>
      <c r="K9" s="13"/>
      <c r="L9" s="13"/>
      <c r="M9" s="217"/>
    </row>
    <row r="10" spans="2:15" ht="15.75" thickBot="1" x14ac:dyDescent="0.3">
      <c r="B10" s="216"/>
      <c r="C10" s="707" t="s">
        <v>9</v>
      </c>
      <c r="D10" s="708"/>
      <c r="E10" s="710" t="str">
        <f>'Finansiniai duomenys'!C9</f>
        <v xml:space="preserve">Varėnos rajono savivaldybė </v>
      </c>
      <c r="F10" s="710"/>
      <c r="G10" s="710"/>
      <c r="H10" s="710"/>
      <c r="I10" s="710"/>
      <c r="J10" s="710"/>
      <c r="K10" s="13"/>
      <c r="L10" s="13"/>
      <c r="M10" s="217"/>
    </row>
    <row r="11" spans="2:15" ht="15.75" thickBot="1" x14ac:dyDescent="0.3">
      <c r="B11" s="216"/>
      <c r="C11" s="707" t="s">
        <v>13</v>
      </c>
      <c r="D11" s="708"/>
      <c r="E11" s="710">
        <f>'Finansiniai duomenys'!C10</f>
        <v>184827583</v>
      </c>
      <c r="F11" s="710"/>
      <c r="G11" s="710"/>
      <c r="H11" s="710"/>
      <c r="I11" s="710"/>
      <c r="J11" s="710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677" t="s">
        <v>501</v>
      </c>
      <c r="D14" s="678"/>
      <c r="E14" s="647" t="s">
        <v>198</v>
      </c>
      <c r="F14" s="679"/>
      <c r="G14" s="242"/>
      <c r="H14" s="245"/>
      <c r="I14" s="675" t="s">
        <v>503</v>
      </c>
      <c r="J14" s="676"/>
      <c r="K14" s="647" t="s">
        <v>198</v>
      </c>
      <c r="L14" s="648"/>
      <c r="M14" s="218"/>
    </row>
    <row r="15" spans="2:15" ht="26.45" customHeight="1" thickBot="1" x14ac:dyDescent="0.3">
      <c r="B15" s="216"/>
      <c r="C15" s="677" t="s">
        <v>502</v>
      </c>
      <c r="D15" s="685"/>
      <c r="E15" s="685"/>
      <c r="F15" s="700"/>
      <c r="G15" s="136"/>
      <c r="H15" s="245"/>
      <c r="I15" s="682" t="s">
        <v>504</v>
      </c>
      <c r="J15" s="683"/>
      <c r="K15" s="683"/>
      <c r="L15" s="684"/>
      <c r="M15" s="219"/>
    </row>
    <row r="16" spans="2:15" ht="49.5" customHeight="1" thickBot="1" x14ac:dyDescent="0.3">
      <c r="B16" s="216"/>
      <c r="C16" s="677" t="s">
        <v>480</v>
      </c>
      <c r="D16" s="685"/>
      <c r="E16" s="698" t="s">
        <v>198</v>
      </c>
      <c r="F16" s="699"/>
      <c r="G16" s="137"/>
      <c r="H16" s="246"/>
      <c r="I16" s="675" t="s">
        <v>505</v>
      </c>
      <c r="J16" s="675"/>
      <c r="K16" s="673" t="s">
        <v>198</v>
      </c>
      <c r="L16" s="674"/>
      <c r="M16" s="218"/>
    </row>
    <row r="17" spans="2:13" ht="40.5" customHeight="1" x14ac:dyDescent="0.25">
      <c r="B17" s="216"/>
      <c r="C17" s="677" t="s">
        <v>352</v>
      </c>
      <c r="D17" s="685"/>
      <c r="E17" s="680" t="s">
        <v>591</v>
      </c>
      <c r="F17" s="681"/>
      <c r="G17" s="242"/>
      <c r="H17" s="246"/>
      <c r="I17" s="685" t="s">
        <v>352</v>
      </c>
      <c r="J17" s="685"/>
      <c r="K17" s="680" t="s">
        <v>591</v>
      </c>
      <c r="L17" s="681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694" t="s">
        <v>508</v>
      </c>
      <c r="D20" s="689"/>
      <c r="E20" s="689"/>
      <c r="F20" s="695"/>
      <c r="G20" s="19"/>
      <c r="H20" s="245"/>
      <c r="I20" s="689" t="s">
        <v>506</v>
      </c>
      <c r="J20" s="689"/>
      <c r="K20" s="689"/>
      <c r="L20" s="689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696" t="s">
        <v>509</v>
      </c>
      <c r="D22" s="690"/>
      <c r="E22" s="690"/>
      <c r="F22" s="697"/>
      <c r="G22" s="243"/>
      <c r="H22" s="245"/>
      <c r="I22" s="690" t="s">
        <v>507</v>
      </c>
      <c r="J22" s="690"/>
      <c r="K22" s="690"/>
      <c r="L22" s="690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ht="24.75" x14ac:dyDescent="0.25">
      <c r="B24" s="216"/>
      <c r="C24" s="20">
        <v>1</v>
      </c>
      <c r="D24" s="248" t="s">
        <v>587</v>
      </c>
      <c r="E24" s="8" t="s">
        <v>588</v>
      </c>
      <c r="F24" s="250">
        <v>0.3</v>
      </c>
      <c r="G24" s="234"/>
      <c r="H24" s="247"/>
      <c r="I24" s="22">
        <v>1</v>
      </c>
      <c r="J24" s="252" t="s">
        <v>592</v>
      </c>
      <c r="K24" s="8" t="s">
        <v>593</v>
      </c>
      <c r="L24" s="250">
        <v>8</v>
      </c>
      <c r="M24" s="223"/>
    </row>
    <row r="25" spans="2:13" x14ac:dyDescent="0.25">
      <c r="B25" s="216"/>
      <c r="C25" s="20">
        <v>2</v>
      </c>
      <c r="D25" s="248" t="s">
        <v>589</v>
      </c>
      <c r="E25" s="8" t="s">
        <v>590</v>
      </c>
      <c r="F25" s="250">
        <v>0.3</v>
      </c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701" t="s">
        <v>216</v>
      </c>
      <c r="D85" s="701"/>
      <c r="E85" s="701"/>
      <c r="F85" s="701"/>
      <c r="G85" s="701"/>
      <c r="H85" s="701"/>
      <c r="I85" s="701"/>
      <c r="J85" s="701"/>
      <c r="K85" s="701"/>
      <c r="L85" s="701"/>
      <c r="M85" s="224"/>
    </row>
    <row r="86" spans="2:13" ht="66" customHeight="1" x14ac:dyDescent="0.25">
      <c r="B86" s="216"/>
      <c r="C86" s="693" t="s">
        <v>357</v>
      </c>
      <c r="D86" s="683"/>
      <c r="E86" s="683"/>
      <c r="F86" s="702"/>
      <c r="G86" s="702"/>
      <c r="H86" s="702"/>
      <c r="I86" s="702"/>
      <c r="J86" s="702"/>
      <c r="K86" s="702"/>
      <c r="L86" s="702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1" t="s">
        <v>223</v>
      </c>
      <c r="D88" s="692"/>
      <c r="E88" s="692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93" t="s">
        <v>225</v>
      </c>
      <c r="D89" s="683"/>
      <c r="E89" s="683"/>
      <c r="F89" s="703">
        <v>45758</v>
      </c>
      <c r="G89" s="704"/>
      <c r="H89" s="704"/>
      <c r="I89" s="704"/>
      <c r="J89" s="704"/>
      <c r="K89" s="704"/>
      <c r="L89" s="704"/>
      <c r="M89" s="225"/>
    </row>
    <row r="90" spans="2:13" ht="15.75" customHeight="1" x14ac:dyDescent="0.25">
      <c r="B90" s="216"/>
      <c r="C90" s="693" t="s">
        <v>227</v>
      </c>
      <c r="D90" s="683"/>
      <c r="E90" s="683"/>
      <c r="F90" s="704" t="s">
        <v>594</v>
      </c>
      <c r="G90" s="704"/>
      <c r="H90" s="704"/>
      <c r="I90" s="704"/>
      <c r="J90" s="704"/>
      <c r="K90" s="704"/>
      <c r="L90" s="704"/>
      <c r="M90" s="225"/>
    </row>
    <row r="91" spans="2:13" ht="15.75" customHeight="1" x14ac:dyDescent="0.25">
      <c r="B91" s="216"/>
      <c r="C91" s="693" t="s">
        <v>229</v>
      </c>
      <c r="D91" s="683"/>
      <c r="E91" s="683"/>
      <c r="F91" s="704" t="s">
        <v>586</v>
      </c>
      <c r="G91" s="704"/>
      <c r="H91" s="704"/>
      <c r="I91" s="704"/>
      <c r="J91" s="704"/>
      <c r="K91" s="704"/>
      <c r="L91" s="704"/>
      <c r="M91" s="225"/>
    </row>
    <row r="92" spans="2:13" ht="21" customHeight="1" x14ac:dyDescent="0.25">
      <c r="B92" s="216"/>
      <c r="C92" s="686" t="s">
        <v>231</v>
      </c>
      <c r="D92" s="675"/>
      <c r="E92" s="675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87"/>
      <c r="D93" s="688"/>
      <c r="E93" s="688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24" t="str">
        <f>'Finansiniai duomenys'!C8</f>
        <v>UAB „Varėnos šiluma“</v>
      </c>
      <c r="I3" s="724"/>
      <c r="J3" s="724"/>
      <c r="K3" s="724"/>
      <c r="L3" s="724"/>
      <c r="N3" s="705" t="s">
        <v>348</v>
      </c>
      <c r="O3" s="705"/>
      <c r="P3" s="705"/>
      <c r="T3" s="12"/>
      <c r="U3" t="s">
        <v>201</v>
      </c>
    </row>
    <row r="4" spans="1:21" ht="13.9" customHeight="1" x14ac:dyDescent="0.25">
      <c r="A4" s="12"/>
      <c r="C4" s="726" t="s">
        <v>411</v>
      </c>
      <c r="D4" s="727"/>
      <c r="E4" s="727"/>
      <c r="F4" s="322"/>
      <c r="G4" s="301" t="s">
        <v>367</v>
      </c>
      <c r="H4" s="724" t="str">
        <f>IFERROR(VLOOKUP(H3,'Finansiniai duomenys'!R2:T232,3,FALSE),"")</f>
        <v xml:space="preserve">Varėnos rajono savivaldybė </v>
      </c>
      <c r="I4" s="724"/>
      <c r="J4" s="724"/>
      <c r="K4" s="724"/>
      <c r="L4" s="724"/>
      <c r="N4" s="705"/>
      <c r="O4" s="705"/>
      <c r="P4" s="705"/>
      <c r="T4" s="12"/>
    </row>
    <row r="5" spans="1:21" x14ac:dyDescent="0.25">
      <c r="A5" s="12"/>
      <c r="C5" s="726"/>
      <c r="D5" s="727"/>
      <c r="E5" s="727"/>
      <c r="F5" s="322"/>
      <c r="G5" s="302" t="s">
        <v>13</v>
      </c>
      <c r="H5" s="721">
        <f>IFERROR(VLOOKUP(H3,'Finansiniai duomenys'!R2:T232,2,FALSE),"")</f>
        <v>184827583</v>
      </c>
      <c r="I5" s="721"/>
      <c r="J5" s="721"/>
      <c r="K5" s="721"/>
      <c r="L5" s="721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28" t="s">
        <v>478</v>
      </c>
      <c r="D7" s="729"/>
      <c r="E7" s="729"/>
      <c r="F7" s="122"/>
      <c r="G7" s="725" t="s">
        <v>403</v>
      </c>
      <c r="H7" s="725"/>
      <c r="I7" s="725"/>
      <c r="J7" s="725"/>
      <c r="K7" s="725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29"/>
      <c r="D8" s="729"/>
      <c r="E8" s="729"/>
      <c r="F8" s="122"/>
      <c r="G8" s="725" t="s">
        <v>404</v>
      </c>
      <c r="H8" s="725"/>
      <c r="I8" s="725"/>
      <c r="J8" s="725"/>
      <c r="K8" s="725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29"/>
      <c r="D9" s="729"/>
      <c r="E9" s="729"/>
      <c r="F9" s="122"/>
      <c r="G9" s="305" t="s">
        <v>484</v>
      </c>
      <c r="H9" s="305"/>
      <c r="I9" s="305"/>
      <c r="J9" s="305"/>
      <c r="K9" s="305"/>
      <c r="L9" s="283"/>
      <c r="M9" s="721"/>
      <c r="N9" s="721"/>
      <c r="O9" s="721"/>
      <c r="P9" s="721"/>
      <c r="Q9" s="721"/>
      <c r="R9" s="122"/>
      <c r="T9" s="12"/>
      <c r="U9"/>
    </row>
    <row r="10" spans="1:21" s="284" customFormat="1" ht="46.9" customHeight="1" x14ac:dyDescent="0.25">
      <c r="A10" s="12"/>
      <c r="B10" s="82"/>
      <c r="C10" s="729"/>
      <c r="D10" s="729"/>
      <c r="E10" s="729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22" t="s">
        <v>532</v>
      </c>
      <c r="D12" s="723"/>
      <c r="E12" s="723"/>
      <c r="F12" s="723"/>
      <c r="G12" s="720" t="s">
        <v>405</v>
      </c>
      <c r="H12" s="720"/>
      <c r="I12" s="720" t="s">
        <v>405</v>
      </c>
      <c r="J12" s="720"/>
      <c r="K12" s="720" t="s">
        <v>405</v>
      </c>
      <c r="L12" s="720"/>
      <c r="M12" s="720" t="s">
        <v>405</v>
      </c>
      <c r="N12" s="720"/>
      <c r="O12" s="720" t="s">
        <v>405</v>
      </c>
      <c r="P12" s="720"/>
      <c r="Q12" s="720" t="s">
        <v>405</v>
      </c>
      <c r="R12" s="720"/>
      <c r="T12" s="12"/>
    </row>
    <row r="13" spans="1:21" ht="67.900000000000006" customHeight="1" x14ac:dyDescent="0.25">
      <c r="A13" s="12"/>
      <c r="C13" s="714" t="s">
        <v>370</v>
      </c>
      <c r="D13" s="715" t="s">
        <v>371</v>
      </c>
      <c r="E13" s="718" t="s">
        <v>409</v>
      </c>
      <c r="F13" s="715" t="s">
        <v>372</v>
      </c>
      <c r="G13" s="716"/>
      <c r="H13" s="717"/>
      <c r="I13" s="716"/>
      <c r="J13" s="717"/>
      <c r="K13" s="716"/>
      <c r="L13" s="717"/>
      <c r="M13" s="716"/>
      <c r="N13" s="717"/>
      <c r="O13" s="716"/>
      <c r="P13" s="717"/>
      <c r="Q13" s="716"/>
      <c r="R13" s="717"/>
      <c r="T13" s="12"/>
    </row>
    <row r="14" spans="1:21" ht="39" customHeight="1" x14ac:dyDescent="0.25">
      <c r="A14" s="12"/>
      <c r="C14" s="714"/>
      <c r="D14" s="715"/>
      <c r="E14" s="719"/>
      <c r="F14" s="715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22" t="s">
        <v>531</v>
      </c>
      <c r="D28" s="723"/>
      <c r="E28" s="723"/>
      <c r="F28" s="723"/>
      <c r="G28" s="720" t="s">
        <v>405</v>
      </c>
      <c r="H28" s="720"/>
      <c r="I28" s="720" t="s">
        <v>405</v>
      </c>
      <c r="J28" s="720"/>
      <c r="K28" s="720" t="s">
        <v>405</v>
      </c>
      <c r="L28" s="720"/>
      <c r="M28" s="720" t="s">
        <v>405</v>
      </c>
      <c r="N28" s="720"/>
      <c r="O28" s="720" t="s">
        <v>405</v>
      </c>
      <c r="P28" s="720"/>
      <c r="Q28" s="720" t="s">
        <v>405</v>
      </c>
      <c r="R28" s="720"/>
      <c r="T28" s="12"/>
    </row>
    <row r="29" spans="1:20" ht="62.45" customHeight="1" x14ac:dyDescent="0.25">
      <c r="A29" s="12"/>
      <c r="C29" s="714" t="s">
        <v>370</v>
      </c>
      <c r="D29" s="715" t="s">
        <v>371</v>
      </c>
      <c r="E29" s="718" t="s">
        <v>410</v>
      </c>
      <c r="F29" s="715" t="s">
        <v>372</v>
      </c>
      <c r="G29" s="716"/>
      <c r="H29" s="717"/>
      <c r="I29" s="716"/>
      <c r="J29" s="717"/>
      <c r="K29" s="716"/>
      <c r="L29" s="717"/>
      <c r="M29" s="716"/>
      <c r="N29" s="717"/>
      <c r="O29" s="716"/>
      <c r="P29" s="717"/>
      <c r="Q29" s="716"/>
      <c r="R29" s="717"/>
      <c r="T29" s="12"/>
    </row>
    <row r="30" spans="1:20" ht="52.15" customHeight="1" x14ac:dyDescent="0.25">
      <c r="A30" s="12"/>
      <c r="C30" s="714"/>
      <c r="D30" s="715"/>
      <c r="E30" s="719"/>
      <c r="F30" s="715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22" t="s">
        <v>532</v>
      </c>
      <c r="D44" s="723"/>
      <c r="E44" s="723"/>
      <c r="F44" s="723"/>
      <c r="G44" s="720" t="s">
        <v>405</v>
      </c>
      <c r="H44" s="720"/>
      <c r="I44" s="720" t="s">
        <v>405</v>
      </c>
      <c r="J44" s="720"/>
      <c r="K44" s="720" t="s">
        <v>405</v>
      </c>
      <c r="L44" s="720"/>
      <c r="M44" s="720" t="s">
        <v>405</v>
      </c>
      <c r="N44" s="720"/>
      <c r="O44" s="720" t="s">
        <v>405</v>
      </c>
      <c r="P44" s="720"/>
      <c r="Q44" s="720" t="s">
        <v>405</v>
      </c>
      <c r="R44" s="720"/>
      <c r="T44" s="12"/>
    </row>
    <row r="45" spans="1:20" ht="62.45" customHeight="1" x14ac:dyDescent="0.25">
      <c r="A45" s="12"/>
      <c r="C45" s="714" t="s">
        <v>370</v>
      </c>
      <c r="D45" s="715" t="s">
        <v>371</v>
      </c>
      <c r="E45" s="718" t="s">
        <v>409</v>
      </c>
      <c r="F45" s="715" t="s">
        <v>372</v>
      </c>
      <c r="G45" s="716"/>
      <c r="H45" s="717"/>
      <c r="I45" s="716"/>
      <c r="J45" s="717"/>
      <c r="K45" s="716"/>
      <c r="L45" s="717"/>
      <c r="M45" s="716"/>
      <c r="N45" s="717"/>
      <c r="O45" s="716"/>
      <c r="P45" s="717"/>
      <c r="Q45" s="716"/>
      <c r="R45" s="717"/>
      <c r="T45" s="12"/>
    </row>
    <row r="46" spans="1:20" ht="59.45" customHeight="1" x14ac:dyDescent="0.25">
      <c r="A46" s="12"/>
      <c r="C46" s="714"/>
      <c r="D46" s="715"/>
      <c r="E46" s="719"/>
      <c r="F46" s="715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22" t="s">
        <v>531</v>
      </c>
      <c r="D56" s="723"/>
      <c r="E56" s="723"/>
      <c r="F56" s="723"/>
      <c r="G56" s="720" t="s">
        <v>405</v>
      </c>
      <c r="H56" s="720"/>
      <c r="I56" s="720" t="s">
        <v>405</v>
      </c>
      <c r="J56" s="720"/>
      <c r="K56" s="720" t="s">
        <v>405</v>
      </c>
      <c r="L56" s="720"/>
      <c r="M56" s="720" t="s">
        <v>405</v>
      </c>
      <c r="N56" s="720"/>
      <c r="O56" s="720" t="s">
        <v>405</v>
      </c>
      <c r="P56" s="720"/>
      <c r="Q56" s="720" t="s">
        <v>405</v>
      </c>
      <c r="R56" s="720"/>
      <c r="T56" s="12"/>
    </row>
    <row r="57" spans="1:20" ht="70.150000000000006" customHeight="1" x14ac:dyDescent="0.25">
      <c r="A57" s="12"/>
      <c r="C57" s="714" t="s">
        <v>370</v>
      </c>
      <c r="D57" s="715" t="s">
        <v>371</v>
      </c>
      <c r="E57" s="718" t="s">
        <v>408</v>
      </c>
      <c r="F57" s="715" t="s">
        <v>372</v>
      </c>
      <c r="G57" s="716"/>
      <c r="H57" s="717"/>
      <c r="I57" s="716"/>
      <c r="J57" s="717"/>
      <c r="K57" s="716"/>
      <c r="L57" s="717"/>
      <c r="M57" s="716"/>
      <c r="N57" s="717"/>
      <c r="O57" s="716"/>
      <c r="P57" s="717"/>
      <c r="Q57" s="716"/>
      <c r="R57" s="717"/>
      <c r="T57" s="12"/>
    </row>
    <row r="58" spans="1:20" ht="55.9" customHeight="1" x14ac:dyDescent="0.25">
      <c r="A58" s="12"/>
      <c r="C58" s="714"/>
      <c r="D58" s="715"/>
      <c r="E58" s="719"/>
      <c r="F58" s="715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2"/>
      <c r="I70" s="732"/>
      <c r="J70" s="733"/>
      <c r="T70" s="12"/>
    </row>
    <row r="71" spans="1:21" ht="51" customHeight="1" x14ac:dyDescent="0.25">
      <c r="A71" s="12"/>
      <c r="E71" s="319"/>
      <c r="H71" s="734"/>
      <c r="I71" s="734"/>
      <c r="J71" s="735"/>
      <c r="T71" s="12"/>
    </row>
    <row r="72" spans="1:21" x14ac:dyDescent="0.25">
      <c r="A72" s="12"/>
      <c r="E72" s="329" t="s">
        <v>223</v>
      </c>
      <c r="H72" s="736"/>
      <c r="I72" s="736"/>
      <c r="J72" s="737"/>
      <c r="T72" s="12"/>
    </row>
    <row r="73" spans="1:21" x14ac:dyDescent="0.25">
      <c r="A73" s="12"/>
      <c r="E73" s="319" t="s">
        <v>225</v>
      </c>
      <c r="H73" s="738"/>
      <c r="I73" s="738"/>
      <c r="J73" s="739"/>
      <c r="T73" s="12"/>
    </row>
    <row r="74" spans="1:21" x14ac:dyDescent="0.25">
      <c r="A74" s="12"/>
      <c r="E74" s="319" t="s">
        <v>227</v>
      </c>
      <c r="H74" s="738"/>
      <c r="I74" s="738"/>
      <c r="J74" s="739"/>
      <c r="T74" s="12"/>
    </row>
    <row r="75" spans="1:21" x14ac:dyDescent="0.25">
      <c r="A75" s="12"/>
      <c r="E75" s="319" t="s">
        <v>229</v>
      </c>
      <c r="H75" s="738"/>
      <c r="I75" s="738"/>
      <c r="J75" s="739"/>
      <c r="T75" s="12"/>
    </row>
    <row r="76" spans="1:21" x14ac:dyDescent="0.25">
      <c r="A76" s="12"/>
      <c r="E76" s="320" t="s">
        <v>369</v>
      </c>
      <c r="F76" s="321"/>
      <c r="G76" s="321"/>
      <c r="H76" s="730"/>
      <c r="I76" s="730"/>
      <c r="J76" s="731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3" t="s">
        <v>348</v>
      </c>
      <c r="E2" s="744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98" t="s">
        <v>359</v>
      </c>
      <c r="C4" s="599"/>
      <c r="D4" s="599"/>
      <c r="E4" s="60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601"/>
      <c r="D6" s="601"/>
      <c r="E6" s="602"/>
      <c r="M6" s="39"/>
      <c r="N6" s="39"/>
    </row>
    <row r="7" spans="2:15" x14ac:dyDescent="0.2">
      <c r="B7" s="145" t="s">
        <v>9</v>
      </c>
      <c r="C7" s="591" t="str">
        <f>IFERROR(VLOOKUP(C6,$K$2:$M$5,3,FALSE),"")</f>
        <v/>
      </c>
      <c r="D7" s="591"/>
      <c r="E7" s="592"/>
      <c r="M7" s="39"/>
      <c r="N7" s="39"/>
      <c r="O7" s="39"/>
    </row>
    <row r="8" spans="2:15" x14ac:dyDescent="0.2">
      <c r="B8" s="146" t="s">
        <v>13</v>
      </c>
      <c r="C8" s="591" t="str">
        <f>IFERROR(VLOOKUP(C6,$K$2:$L$5,2,FALSE),"")</f>
        <v/>
      </c>
      <c r="D8" s="591"/>
      <c r="E8" s="59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9"/>
      <c r="D10" s="749"/>
      <c r="E10" s="750"/>
    </row>
    <row r="11" spans="2:15" ht="12" customHeight="1" x14ac:dyDescent="0.2">
      <c r="B11" s="146" t="s">
        <v>29</v>
      </c>
      <c r="C11" s="754"/>
      <c r="D11" s="754"/>
      <c r="E11" s="755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95" t="s">
        <v>36</v>
      </c>
      <c r="D13" s="596"/>
      <c r="E13" s="597"/>
    </row>
    <row r="14" spans="2:15" ht="12" customHeight="1" x14ac:dyDescent="0.2">
      <c r="B14" s="146" t="s">
        <v>40</v>
      </c>
      <c r="C14" s="607" t="s">
        <v>330</v>
      </c>
      <c r="D14" s="607"/>
      <c r="E14" s="148" t="s">
        <v>41</v>
      </c>
    </row>
    <row r="15" spans="2:15" ht="12" customHeight="1" x14ac:dyDescent="0.2">
      <c r="B15" s="149" t="s">
        <v>45</v>
      </c>
      <c r="C15" s="608"/>
      <c r="D15" s="751"/>
      <c r="E15" s="150"/>
      <c r="M15" s="39"/>
      <c r="N15" s="39"/>
    </row>
    <row r="16" spans="2:15" ht="12" customHeight="1" x14ac:dyDescent="0.2">
      <c r="B16" s="149" t="s">
        <v>49</v>
      </c>
      <c r="C16" s="608"/>
      <c r="D16" s="751"/>
      <c r="E16" s="150"/>
      <c r="O16" s="39"/>
    </row>
    <row r="17" spans="2:15" ht="12" customHeight="1" x14ac:dyDescent="0.2">
      <c r="B17" s="149" t="s">
        <v>53</v>
      </c>
      <c r="C17" s="608"/>
      <c r="D17" s="751"/>
      <c r="E17" s="150"/>
      <c r="M17" s="39"/>
      <c r="N17" s="39"/>
    </row>
    <row r="18" spans="2:15" ht="12" customHeight="1" x14ac:dyDescent="0.2">
      <c r="B18" s="149" t="s">
        <v>56</v>
      </c>
      <c r="C18" s="608"/>
      <c r="D18" s="751"/>
      <c r="E18" s="150"/>
      <c r="M18" s="39"/>
      <c r="N18" s="39"/>
      <c r="O18" s="39"/>
    </row>
    <row r="19" spans="2:15" ht="12" customHeight="1" x14ac:dyDescent="0.2">
      <c r="B19" s="149" t="s">
        <v>59</v>
      </c>
      <c r="C19" s="608"/>
      <c r="D19" s="751"/>
      <c r="E19" s="150"/>
      <c r="M19" s="39"/>
      <c r="N19" s="39"/>
      <c r="O19" s="39"/>
    </row>
    <row r="20" spans="2:15" ht="12" customHeight="1" x14ac:dyDescent="0.2">
      <c r="B20" s="149" t="s">
        <v>67</v>
      </c>
      <c r="C20" s="563" t="s">
        <v>68</v>
      </c>
      <c r="D20" s="564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2" t="str">
        <f>IFERROR(VLOOKUP(C6,$K$2:$O$5,4,FALSE),"")</f>
        <v/>
      </c>
      <c r="D22" s="752"/>
      <c r="E22" s="753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1" t="s">
        <v>79</v>
      </c>
      <c r="D24" s="581"/>
      <c r="E24" s="582"/>
      <c r="O24" s="39"/>
    </row>
    <row r="25" spans="2:15" x14ac:dyDescent="0.2">
      <c r="B25" s="157"/>
      <c r="C25" s="573"/>
      <c r="D25" s="573"/>
      <c r="E25" s="574"/>
      <c r="M25" s="39"/>
      <c r="N25" s="39"/>
      <c r="O25" s="39"/>
    </row>
    <row r="26" spans="2:15" x14ac:dyDescent="0.2">
      <c r="B26" s="157"/>
      <c r="C26" s="575" t="s">
        <v>84</v>
      </c>
      <c r="D26" s="575"/>
      <c r="E26" s="576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1" t="s">
        <v>361</v>
      </c>
      <c r="D42" s="581"/>
      <c r="E42" s="58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5" t="s">
        <v>361</v>
      </c>
      <c r="D90" s="745"/>
      <c r="E90" s="746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1" t="s">
        <v>361</v>
      </c>
      <c r="D106" s="581"/>
      <c r="E106" s="58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71"/>
      <c r="D108" s="571"/>
      <c r="E108" s="747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48"/>
      <c r="D113" s="749"/>
      <c r="E113" s="750"/>
    </row>
    <row r="114" spans="2:5" x14ac:dyDescent="0.2">
      <c r="B114" s="157" t="s">
        <v>227</v>
      </c>
      <c r="C114" s="579"/>
      <c r="D114" s="579"/>
      <c r="E114" s="740"/>
    </row>
    <row r="115" spans="2:5" ht="24" x14ac:dyDescent="0.2">
      <c r="B115" s="203" t="s">
        <v>229</v>
      </c>
      <c r="C115" s="567"/>
      <c r="D115" s="567"/>
      <c r="E115" s="741"/>
    </row>
    <row r="116" spans="2:5" ht="24" x14ac:dyDescent="0.2">
      <c r="B116" s="204" t="s">
        <v>231</v>
      </c>
      <c r="C116" s="569"/>
      <c r="D116" s="569"/>
      <c r="E116" s="742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cp:lastPrinted>2025-04-02T07:07:29Z</cp:lastPrinted>
  <dcterms:created xsi:type="dcterms:W3CDTF">2014-03-24T16:58:47Z</dcterms:created>
  <dcterms:modified xsi:type="dcterms:W3CDTF">2025-10-13T07:50:44Z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